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8_{3F3716DB-5FC3-4E89-B802-1FE070E355C2}" xr6:coauthVersionLast="47" xr6:coauthVersionMax="47" xr10:uidLastSave="{00000000-0000-0000-0000-000000000000}"/>
  <bookViews>
    <workbookView xWindow="3750" yWindow="7200" windowWidth="21600" windowHeight="11385" firstSheet="1" activeTab="1" xr2:uid="{00000000-000D-0000-FFFF-FFFF00000000}"/>
  </bookViews>
  <sheets>
    <sheet name="Conversion Factors" sheetId="1" r:id="rId1"/>
    <sheet name="Total County" sheetId="4" r:id="rId2"/>
    <sheet name="FMD" sheetId="3" r:id="rId3"/>
    <sheet name="Public Works" sheetId="5" r:id="rId4"/>
    <sheet name="Parks" sheetId="6" r:id="rId5"/>
    <sheet name="Human Services" sheetId="7" r:id="rId6"/>
    <sheet name="Offices" sheetId="13" r:id="rId7"/>
    <sheet name="Libraries" sheetId="8" r:id="rId8"/>
    <sheet name="Public Safety" sheetId="9" r:id="rId9"/>
    <sheet name="Correctional" sheetId="11" r:id="rId10"/>
    <sheet name="RECenters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4" l="1"/>
  <c r="F2" i="4"/>
  <c r="N10" i="1"/>
  <c r="G3" i="1" l="1"/>
  <c r="F4" i="1" l="1"/>
  <c r="F3" i="1"/>
  <c r="F3" i="4" l="1"/>
  <c r="C3" i="12"/>
  <c r="C2" i="8"/>
  <c r="E2" i="11" l="1"/>
  <c r="E3" i="11"/>
  <c r="E2" i="6"/>
  <c r="E2" i="7"/>
  <c r="E2" i="12"/>
  <c r="E2" i="3"/>
  <c r="E3" i="7"/>
  <c r="E3" i="12"/>
  <c r="F3" i="12" s="1"/>
  <c r="G3" i="12" s="1"/>
  <c r="E3" i="3"/>
  <c r="E2" i="8"/>
  <c r="F2" i="8" s="1"/>
  <c r="G2" i="8" s="1"/>
  <c r="E2" i="13"/>
  <c r="E3" i="8"/>
  <c r="E3" i="13"/>
  <c r="E2" i="5"/>
  <c r="E2" i="9"/>
  <c r="E3" i="6"/>
  <c r="E3" i="5"/>
  <c r="E3" i="9"/>
  <c r="C2" i="6"/>
  <c r="C2" i="9"/>
  <c r="C2" i="12"/>
  <c r="C2" i="13"/>
  <c r="C2" i="7"/>
  <c r="C2" i="11"/>
  <c r="C2" i="5"/>
  <c r="C2" i="4"/>
  <c r="C2" i="3"/>
  <c r="C3" i="3"/>
  <c r="F3" i="3" s="1"/>
  <c r="G3" i="3" s="1"/>
  <c r="C3" i="5"/>
  <c r="C3" i="13"/>
  <c r="C3" i="4"/>
  <c r="G3" i="4" s="1"/>
  <c r="H3" i="4" s="1"/>
  <c r="C3" i="7"/>
  <c r="C3" i="11"/>
  <c r="C3" i="8"/>
  <c r="C3" i="6"/>
  <c r="C3" i="9"/>
  <c r="J3" i="4" l="1"/>
  <c r="F2" i="3"/>
  <c r="G2" i="3" s="1"/>
  <c r="F4" i="3" s="1"/>
  <c r="F2" i="7"/>
  <c r="G2" i="7" s="1"/>
  <c r="F2" i="6"/>
  <c r="G2" i="6" s="1"/>
  <c r="G2" i="4"/>
  <c r="H2" i="4" s="1"/>
  <c r="H4" i="4" s="1"/>
  <c r="F3" i="7"/>
  <c r="G3" i="7" s="1"/>
  <c r="F2" i="11"/>
  <c r="G2" i="11" s="1"/>
  <c r="F3" i="11"/>
  <c r="G3" i="11" s="1"/>
  <c r="F3" i="13"/>
  <c r="G3" i="13" s="1"/>
  <c r="F2" i="12"/>
  <c r="G2" i="12" s="1"/>
  <c r="G4" i="12" s="1"/>
  <c r="F3" i="6"/>
  <c r="G3" i="6" s="1"/>
  <c r="F3" i="8"/>
  <c r="G3" i="8" s="1"/>
  <c r="G4" i="8" s="1"/>
  <c r="F3" i="5"/>
  <c r="G3" i="5" s="1"/>
  <c r="F2" i="13"/>
  <c r="G2" i="13" s="1"/>
  <c r="F3" i="9"/>
  <c r="G3" i="9" s="1"/>
  <c r="F2" i="9"/>
  <c r="G2" i="9" s="1"/>
  <c r="F2" i="5"/>
  <c r="G2" i="5" s="1"/>
  <c r="G4" i="6" l="1"/>
  <c r="G4" i="13"/>
  <c r="G4" i="9"/>
  <c r="G4" i="11"/>
  <c r="G4" i="5"/>
  <c r="G4" i="7"/>
</calcChain>
</file>

<file path=xl/sharedStrings.xml><?xml version="1.0" encoding="utf-8"?>
<sst xmlns="http://schemas.openxmlformats.org/spreadsheetml/2006/main" count="130" uniqueCount="39">
  <si>
    <t>Tab</t>
  </si>
  <si>
    <t>eGRID Spreadsheet</t>
  </si>
  <si>
    <t>Year</t>
  </si>
  <si>
    <t>Natural Gas</t>
  </si>
  <si>
    <t>Electricity</t>
  </si>
  <si>
    <t>Natural Gas (Therms)</t>
  </si>
  <si>
    <t>Electricity (kWh)</t>
  </si>
  <si>
    <t>lbs CO2/ MMBtu</t>
  </si>
  <si>
    <t>lbs CO2/ Therm</t>
  </si>
  <si>
    <t>lbs/kWh</t>
  </si>
  <si>
    <t>lbs/MWh</t>
  </si>
  <si>
    <t>Purchased Gas (Therms)</t>
  </si>
  <si>
    <t>Metric Tons</t>
  </si>
  <si>
    <t>Landfill Gas (Therms)*</t>
  </si>
  <si>
    <t>*Landfill gas uses the same conversion factor as purchased gas.  The GHG implications of converting landfill gas to usable gas are too complex for this project.</t>
  </si>
  <si>
    <t>% Change</t>
  </si>
  <si>
    <t>Variable</t>
  </si>
  <si>
    <t>CO2 from Electricity (lbs)</t>
  </si>
  <si>
    <t>CO2 from Natural Gas (lbs)</t>
  </si>
  <si>
    <t>Total CO2 (lbs)</t>
  </si>
  <si>
    <t xml:space="preserve">https://www.epa.gov/energy/emissions-generation-resource-integrated-database-egrid </t>
  </si>
  <si>
    <t>This is recommended in the white paper "Using EPA’s eGRID to Estimate GHG Emissions Reductions 
from Energy Efficiency"</t>
  </si>
  <si>
    <t>https://www.eia.gov/environment/emissions/co2_vol_mass.cfm</t>
  </si>
  <si>
    <t>Source: EIA Natural Gas factor for homes and businesses</t>
  </si>
  <si>
    <t>Using subregion data to account for power plants used in nearby states. Our subregion is SRVC Virginia/Carolina</t>
  </si>
  <si>
    <t>SRC2ERTA</t>
  </si>
  <si>
    <t>SRC2ERTA is the "eGRID subregion annual CO2 equivalent total output emission rate."</t>
  </si>
  <si>
    <t>SRCO2RTA is the "eGRID subregion annual CO2 output emission rate." The "equivalent" rate is not available for 2006, however it's a small % of the rate:</t>
  </si>
  <si>
    <t xml:space="preserve">*Assumes the fiscal year sq ft from FMD equals the same calendar year's sq ft. </t>
  </si>
  <si>
    <t>Cost of Carbon</t>
  </si>
  <si>
    <t>Source: eGRID 2020 (most recent year)</t>
  </si>
  <si>
    <t>eGRID2020_data</t>
  </si>
  <si>
    <t>SRL20</t>
  </si>
  <si>
    <t>eGRID2018_Data_v2</t>
  </si>
  <si>
    <t>SRL18</t>
  </si>
  <si>
    <t>Fiscal Year</t>
  </si>
  <si>
    <t>21% Decrease</t>
  </si>
  <si>
    <t>FY18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</si>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</sst>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_(&quot;$&quot;* #,##0_);_(&quot;$&quot;* \(#,##0\);_(&quot;$&quot;* &quot;-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right"/>
    </xf>
    <xf numFmtId="9" fontId="0" fillId="2" borderId="0" xfId="1" applyFont="1" applyFill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2" borderId="0" xfId="2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0" fontId="0" fillId="2" borderId="0" xfId="1" applyNumberFormat="1" applyFont="1" applyFill="1" applyAlignment="1">
      <alignment horizontal="left"/>
    </xf>
    <xf numFmtId="166" fontId="0" fillId="2" borderId="0" xfId="9" applyNumberFormat="1" applyFont="1" applyFill="1"/>
    <xf numFmtId="167" fontId="0" fillId="2" borderId="0" xfId="8" applyNumberFormat="1" applyFont="1" applyFill="1"/>
    <xf numFmtId="43" fontId="0" fillId="2" borderId="0" xfId="0" applyNumberFormat="1" applyFill="1"/>
    <xf numFmtId="9" fontId="0" fillId="0" borderId="0" xfId="1" applyFont="1" applyFill="1"/>
    <xf numFmtId="0" fontId="1" fillId="2" borderId="2" xfId="0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3" xfId="0" applyFill="1" applyBorder="1"/>
  </cellXfs>
  <cellStyles count="10">
    <cellStyle name="Comma" xfId="8" builtinId="3"/>
    <cellStyle name="Comma 2" xfId="4" xr:uid="{00000000-0005-0000-0000-000000000000}"/>
    <cellStyle name="Currency" xfId="9" builtinId="4"/>
    <cellStyle name="Hyperlink" xfId="2" builtinId="8"/>
    <cellStyle name="Normal" xfId="0" builtinId="0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 5" xfId="3" xr:uid="{00000000-0005-0000-0000-000006000000}"/>
    <cellStyle name="Percent" xfId="1" builtinId="5"/>
  </cellStyles>
  <dxfs count="0"/>
  <tableStyles count="0" defaultTableStyle="TableStyleMedium2" defaultPivotStyle="PivotStyleMedium9"/>
  <colors>
    <mruColors>
      <color rgb="FF006600"/>
      <color rgb="FF008000"/>
      <color rgb="FF595959"/>
      <color rgb="FF00CC00"/>
      <color rgb="FFE5FFE5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environment/emissions/co2_vol_mass.cfm" TargetMode="External"/><Relationship Id="rId1" Type="http://schemas.openxmlformats.org/officeDocument/2006/relationships/hyperlink" Target="https://www.epa.gov/energy/emissions-generation-resource-integrated-database-egrid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zoomScale="90" zoomScaleNormal="90" workbookViewId="0">
      <selection activeCell="A19" sqref="A19"/>
    </sheetView>
  </sheetViews>
  <sheetFormatPr defaultColWidth="9.140625" defaultRowHeight="15" x14ac:dyDescent="0.25"/>
  <cols>
    <col min="1" max="1" width="9.42578125" style="2" customWidth="1"/>
    <col min="2" max="2" width="23.140625" style="2" customWidth="1"/>
    <col min="3" max="3" width="8" style="2" customWidth="1"/>
    <col min="4" max="4" width="11.85546875" style="2" customWidth="1"/>
    <col min="5" max="5" width="10.42578125" style="2" customWidth="1"/>
    <col min="6" max="6" width="11.42578125" style="2" customWidth="1"/>
    <col min="7" max="12" width="9.140625" style="2"/>
    <col min="13" max="13" width="7.5703125" style="2" customWidth="1"/>
    <col min="14" max="16384" width="9.140625" style="2"/>
  </cols>
  <sheetData>
    <row r="1" spans="1:14" s="18" customFormat="1" ht="31.5" customHeight="1" x14ac:dyDescent="0.25">
      <c r="A1" s="17" t="s">
        <v>4</v>
      </c>
    </row>
    <row r="2" spans="1:14" x14ac:dyDescent="0.25">
      <c r="A2" s="9" t="s">
        <v>2</v>
      </c>
      <c r="B2" s="9" t="s">
        <v>1</v>
      </c>
      <c r="C2" s="9" t="s">
        <v>0</v>
      </c>
      <c r="D2" s="9" t="s">
        <v>16</v>
      </c>
      <c r="E2" s="9" t="s">
        <v>10</v>
      </c>
      <c r="F2" s="11" t="s">
        <v>9</v>
      </c>
      <c r="G2" s="2" t="s">
        <v>15</v>
      </c>
    </row>
    <row r="3" spans="1:14" x14ac:dyDescent="0.25">
      <c r="A3" s="10">
        <v>2018</v>
      </c>
      <c r="B3" s="10" t="s">
        <v>33</v>
      </c>
      <c r="C3" s="10" t="s">
        <v>34</v>
      </c>
      <c r="D3" s="10" t="s">
        <v>25</v>
      </c>
      <c r="E3" s="10">
        <v>747.51300000000003</v>
      </c>
      <c r="F3" s="12">
        <f>E3*0.001</f>
        <v>0.74751300000000009</v>
      </c>
      <c r="G3" s="8">
        <f>(E4-E3)/E3</f>
        <v>-0.16217778152353204</v>
      </c>
    </row>
    <row r="4" spans="1:14" x14ac:dyDescent="0.25">
      <c r="A4" s="10">
        <v>2022</v>
      </c>
      <c r="B4" s="10" t="s">
        <v>31</v>
      </c>
      <c r="C4" s="10" t="s">
        <v>32</v>
      </c>
      <c r="D4" s="10" t="s">
        <v>25</v>
      </c>
      <c r="E4" s="10">
        <v>626.28300000000002</v>
      </c>
      <c r="F4" s="12">
        <f>E4*0.001</f>
        <v>0.62628300000000003</v>
      </c>
    </row>
    <row r="6" spans="1:14" x14ac:dyDescent="0.25">
      <c r="A6" s="2" t="s">
        <v>30</v>
      </c>
    </row>
    <row r="7" spans="1:14" x14ac:dyDescent="0.25">
      <c r="A7" s="16" t="s">
        <v>20</v>
      </c>
    </row>
    <row r="8" spans="1:14" x14ac:dyDescent="0.25">
      <c r="A8" s="2" t="s">
        <v>24</v>
      </c>
    </row>
    <row r="9" spans="1:14" x14ac:dyDescent="0.25">
      <c r="A9" s="2" t="s">
        <v>21</v>
      </c>
    </row>
    <row r="10" spans="1:14" x14ac:dyDescent="0.25">
      <c r="A10" s="2" t="s">
        <v>27</v>
      </c>
      <c r="N10" s="19">
        <f>(810.131-805.285)/810.131</f>
        <v>5.9817486307770021E-3</v>
      </c>
    </row>
    <row r="11" spans="1:14" x14ac:dyDescent="0.25">
      <c r="A11" s="2" t="s">
        <v>26</v>
      </c>
    </row>
    <row r="14" spans="1:14" ht="21" x14ac:dyDescent="0.25">
      <c r="A14" s="17" t="s">
        <v>3</v>
      </c>
      <c r="B14" s="18"/>
      <c r="C14" s="18"/>
      <c r="D14" s="18"/>
      <c r="E14" s="18"/>
      <c r="F14" s="18"/>
      <c r="G14" s="18"/>
      <c r="H14" s="18"/>
    </row>
    <row r="15" spans="1:14" ht="30" x14ac:dyDescent="0.25">
      <c r="A15" s="13" t="s">
        <v>7</v>
      </c>
      <c r="B15" s="15" t="s">
        <v>8</v>
      </c>
    </row>
    <row r="16" spans="1:14" s="18" customFormat="1" ht="35.25" customHeight="1" x14ac:dyDescent="0.25">
      <c r="A16" s="14">
        <v>116.65</v>
      </c>
      <c r="B16" s="12">
        <v>11.697607600000001</v>
      </c>
      <c r="C16" s="2"/>
      <c r="D16" s="2"/>
      <c r="E16" s="2"/>
      <c r="F16" s="2"/>
      <c r="G16" s="2"/>
      <c r="H16" s="2"/>
    </row>
    <row r="18" spans="1:1" x14ac:dyDescent="0.25">
      <c r="A18" s="2" t="s">
        <v>23</v>
      </c>
    </row>
    <row r="19" spans="1:1" x14ac:dyDescent="0.25">
      <c r="A19" s="16" t="s">
        <v>22</v>
      </c>
    </row>
  </sheetData>
  <hyperlinks>
    <hyperlink ref="A7" r:id="rId1" xr:uid="{00000000-0004-0000-0000-000000000000}"/>
    <hyperlink ref="A19" r:id="rId2" xr:uid="{00000000-0004-0000-0000-000001000000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zoomScale="120" zoomScaleNormal="120" workbookViewId="0">
      <selection activeCell="G4" sqref="G4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16384" width="9.140625" style="2"/>
  </cols>
  <sheetData>
    <row r="1" spans="1:7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1" t="s">
        <v>19</v>
      </c>
      <c r="G1" s="1" t="s">
        <v>12</v>
      </c>
    </row>
    <row r="2" spans="1:7" x14ac:dyDescent="0.25">
      <c r="A2" s="4" t="s">
        <v>37</v>
      </c>
      <c r="B2" s="5">
        <v>23992508</v>
      </c>
      <c r="C2" s="5">
        <f>B2*'Conversion Factors'!F3</f>
        <v>17934711.632604003</v>
      </c>
      <c r="D2" s="5">
        <v>318918</v>
      </c>
      <c r="E2" s="5">
        <f>D2*'Conversion Factors'!$B$16</f>
        <v>3730577.6205768003</v>
      </c>
      <c r="F2" s="5">
        <f>C2+E2</f>
        <v>21665289.253180802</v>
      </c>
      <c r="G2" s="5">
        <f>F2/2204.6216</f>
        <v>9827.2144540273039</v>
      </c>
    </row>
    <row r="3" spans="1:7" x14ac:dyDescent="0.25">
      <c r="A3" s="4" t="s">
        <v>38</v>
      </c>
      <c r="B3" s="5">
        <v>17580484</v>
      </c>
      <c r="C3" s="5">
        <f>B3*'Conversion Factors'!F4</f>
        <v>11010358.260972001</v>
      </c>
      <c r="D3" s="5">
        <v>304912</v>
      </c>
      <c r="E3" s="5">
        <f>D3*'Conversion Factors'!$B$16</f>
        <v>3566740.9285312006</v>
      </c>
      <c r="F3" s="5">
        <f>C3+E3</f>
        <v>14577099.1895032</v>
      </c>
      <c r="G3" s="5">
        <f>F3/2204.6216</f>
        <v>6612.0640338020821</v>
      </c>
    </row>
    <row r="4" spans="1:7" x14ac:dyDescent="0.25">
      <c r="F4" s="2" t="s">
        <v>15</v>
      </c>
      <c r="G4" s="8">
        <f>(G3-G2)/G2</f>
        <v>-0.32716803273867873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"/>
  <sheetViews>
    <sheetView zoomScale="120" zoomScaleNormal="120" workbookViewId="0">
      <selection activeCell="F32" sqref="F32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16384" width="9.140625" style="2"/>
  </cols>
  <sheetData>
    <row r="1" spans="1:7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1" t="s">
        <v>19</v>
      </c>
      <c r="G1" s="1" t="s">
        <v>12</v>
      </c>
    </row>
    <row r="2" spans="1:7" x14ac:dyDescent="0.25">
      <c r="A2" s="4" t="s">
        <v>37</v>
      </c>
      <c r="B2" s="5">
        <v>21116677</v>
      </c>
      <c r="C2" s="5">
        <f>B2*'Conversion Factors'!F3</f>
        <v>15784990.574301003</v>
      </c>
      <c r="D2" s="5">
        <v>878198</v>
      </c>
      <c r="E2" s="5">
        <f>D2*'Conversion Factors'!$B$16</f>
        <v>10272815.599104801</v>
      </c>
      <c r="F2" s="5">
        <f>C2+E2</f>
        <v>26057806.173405804</v>
      </c>
      <c r="G2" s="5">
        <f>F2/2204.6216</f>
        <v>11819.627537626324</v>
      </c>
    </row>
    <row r="3" spans="1:7" x14ac:dyDescent="0.25">
      <c r="A3" s="4" t="s">
        <v>38</v>
      </c>
      <c r="B3" s="5">
        <v>17558197</v>
      </c>
      <c r="C3" s="5">
        <f>B3*'Conversion Factors'!F4</f>
        <v>10996400.291751001</v>
      </c>
      <c r="D3" s="5">
        <v>792356</v>
      </c>
      <c r="E3" s="5">
        <f>D3*'Conversion Factors'!$B$16</f>
        <v>9268669.5675056018</v>
      </c>
      <c r="F3" s="5">
        <f>C3+E3</f>
        <v>20265069.859256603</v>
      </c>
      <c r="G3" s="5">
        <f>F3/2204.6216</f>
        <v>9192.0853262331293</v>
      </c>
    </row>
    <row r="4" spans="1:7" x14ac:dyDescent="0.25">
      <c r="F4" s="2" t="s">
        <v>15</v>
      </c>
      <c r="G4" s="8">
        <f>(G3-G2)/G2</f>
        <v>-0.22230330042370106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tabSelected="1" zoomScale="120" zoomScaleNormal="120" workbookViewId="0">
      <selection activeCell="H12" sqref="H12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9" width="14.28515625" style="2" bestFit="1" customWidth="1"/>
    <col min="10" max="10" width="13" style="2" customWidth="1"/>
    <col min="11" max="16384" width="9.140625" style="2"/>
  </cols>
  <sheetData>
    <row r="1" spans="1:10" ht="45" x14ac:dyDescent="0.25">
      <c r="A1" s="3" t="s">
        <v>35</v>
      </c>
      <c r="B1" s="1" t="s">
        <v>6</v>
      </c>
      <c r="C1" s="1" t="s">
        <v>17</v>
      </c>
      <c r="D1" s="6" t="s">
        <v>13</v>
      </c>
      <c r="E1" s="1" t="s">
        <v>11</v>
      </c>
      <c r="F1" s="1" t="s">
        <v>18</v>
      </c>
      <c r="G1" s="1" t="s">
        <v>19</v>
      </c>
      <c r="H1" s="1" t="s">
        <v>12</v>
      </c>
      <c r="I1" s="2" t="s">
        <v>36</v>
      </c>
      <c r="J1" s="2" t="s">
        <v>29</v>
      </c>
    </row>
    <row r="2" spans="1:10" x14ac:dyDescent="0.25">
      <c r="A2" s="4" t="s">
        <v>37</v>
      </c>
      <c r="B2" s="5">
        <v>264068848.07979149</v>
      </c>
      <c r="C2" s="5">
        <f>B2*'Conversion Factors'!F3</f>
        <v>197394896.8346692</v>
      </c>
      <c r="D2" s="7">
        <v>276240.04358046292</v>
      </c>
      <c r="E2" s="5">
        <v>4234189.3366954988</v>
      </c>
      <c r="F2" s="5">
        <f>(D2+E2)*'Conversion Factors'!$B$16</f>
        <v>52761232.997979388</v>
      </c>
      <c r="G2" s="5">
        <f>C2+F2</f>
        <v>250156129.83264858</v>
      </c>
      <c r="H2" s="5">
        <f>G2/2204.6216</f>
        <v>113468.9643940024</v>
      </c>
    </row>
    <row r="3" spans="1:10" x14ac:dyDescent="0.25">
      <c r="A3" s="4" t="s">
        <v>38</v>
      </c>
      <c r="B3" s="5">
        <v>237900185</v>
      </c>
      <c r="C3" s="5">
        <f>B3*'Conversion Factors'!F4</f>
        <v>148992841.56235501</v>
      </c>
      <c r="D3" s="7">
        <v>75214.961824700003</v>
      </c>
      <c r="E3" s="5">
        <v>4162273.8600000003</v>
      </c>
      <c r="F3" s="5">
        <f>(D3+E3)*'Conversion Factors'!$B$16</f>
        <v>49568481.447091669</v>
      </c>
      <c r="G3" s="5">
        <f>C3+F3</f>
        <v>198561323.00944668</v>
      </c>
      <c r="H3" s="5">
        <f>G3/2204.6216</f>
        <v>90065.942840007861</v>
      </c>
      <c r="I3" s="21">
        <f>H3*0.21</f>
        <v>18913.847996401651</v>
      </c>
      <c r="J3" s="20">
        <f>I3*51</f>
        <v>964606.24781648419</v>
      </c>
    </row>
    <row r="4" spans="1:10" x14ac:dyDescent="0.25">
      <c r="F4" s="21"/>
      <c r="G4" s="2" t="s">
        <v>15</v>
      </c>
      <c r="H4" s="8">
        <f>(H3-H2)/H2</f>
        <v>-0.20625041991862528</v>
      </c>
      <c r="I4" s="8"/>
    </row>
    <row r="5" spans="1:10" x14ac:dyDescent="0.25">
      <c r="F5" s="22"/>
    </row>
    <row r="6" spans="1:10" x14ac:dyDescent="0.25">
      <c r="A6" s="2" t="s">
        <v>14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zoomScale="120" zoomScaleNormal="120" workbookViewId="0">
      <selection activeCell="H2" sqref="H2:I46"/>
    </sheetView>
  </sheetViews>
  <sheetFormatPr defaultColWidth="9.140625" defaultRowHeight="15" x14ac:dyDescent="0.25"/>
  <cols>
    <col min="1" max="1" width="9.140625" style="2"/>
    <col min="2" max="6" width="13.85546875" style="2" customWidth="1"/>
    <col min="7" max="7" width="12.42578125" customWidth="1"/>
    <col min="8" max="8" width="16.140625" customWidth="1"/>
    <col min="9" max="9" width="13" customWidth="1"/>
    <col min="10" max="16384" width="9.140625" style="2"/>
  </cols>
  <sheetData>
    <row r="1" spans="1:10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24" t="s">
        <v>19</v>
      </c>
      <c r="G1" s="1" t="s">
        <v>12</v>
      </c>
      <c r="H1" s="26"/>
      <c r="I1" s="26"/>
    </row>
    <row r="2" spans="1:10" x14ac:dyDescent="0.25">
      <c r="A2" s="10" t="s">
        <v>37</v>
      </c>
      <c r="B2" s="5">
        <v>131691391.6406</v>
      </c>
      <c r="C2" s="5">
        <f>B2*'Conversion Factors'!F3</f>
        <v>98441027.23943983</v>
      </c>
      <c r="D2" s="5">
        <v>1832447.9178190001</v>
      </c>
      <c r="E2" s="5">
        <f>D2*'Conversion Factors'!$B$16</f>
        <v>21435256.690083712</v>
      </c>
      <c r="F2" s="25">
        <f>(C2+E2)</f>
        <v>119876283.92952354</v>
      </c>
      <c r="G2" s="5">
        <f>F2/2204.6216</f>
        <v>54374.992937347408</v>
      </c>
      <c r="H2" s="27"/>
      <c r="I2" s="28"/>
    </row>
    <row r="3" spans="1:10" x14ac:dyDescent="0.25">
      <c r="A3" s="29" t="s">
        <v>38</v>
      </c>
      <c r="B3" s="5">
        <v>119471776</v>
      </c>
      <c r="C3" s="5">
        <f>B3*'Conversion Factors'!F4</f>
        <v>74823142.288608</v>
      </c>
      <c r="D3" s="5">
        <v>1892496.88</v>
      </c>
      <c r="E3" s="5">
        <f>D3*'Conversion Factors'!$B$16</f>
        <v>22137685.88646429</v>
      </c>
      <c r="F3" s="25">
        <f>(C3+E3)</f>
        <v>96960828.175072283</v>
      </c>
      <c r="G3" s="5">
        <f>F3/2204.6216</f>
        <v>43980.712234277431</v>
      </c>
      <c r="H3" s="27"/>
      <c r="I3" s="28"/>
    </row>
    <row r="4" spans="1:10" x14ac:dyDescent="0.25">
      <c r="E4" s="2" t="s">
        <v>15</v>
      </c>
      <c r="F4" s="8">
        <f>(G3-G2)/G2</f>
        <v>-0.1911592101730771</v>
      </c>
      <c r="G4" s="23"/>
      <c r="H4" s="23"/>
      <c r="J4" s="8"/>
    </row>
    <row r="6" spans="1:10" x14ac:dyDescent="0.25">
      <c r="A6" s="2" t="s">
        <v>28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zoomScale="120" zoomScaleNormal="120" workbookViewId="0">
      <selection activeCell="A2" sqref="A2:A3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16384" width="9.140625" style="2"/>
  </cols>
  <sheetData>
    <row r="1" spans="1:7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1" t="s">
        <v>19</v>
      </c>
      <c r="G1" s="1" t="s">
        <v>12</v>
      </c>
    </row>
    <row r="2" spans="1:7" x14ac:dyDescent="0.25">
      <c r="A2" s="10" t="s">
        <v>37</v>
      </c>
      <c r="B2" s="5">
        <v>96710993.5</v>
      </c>
      <c r="C2" s="5">
        <f>B2*'Conversion Factors'!F3</f>
        <v>72292724.884165511</v>
      </c>
      <c r="D2" s="5">
        <v>975683.7</v>
      </c>
      <c r="E2" s="5">
        <f>D2*'Conversion Factors'!$B$16</f>
        <v>11413165.06431612</v>
      </c>
      <c r="F2" s="5">
        <f>C2+E2</f>
        <v>83705889.948481634</v>
      </c>
      <c r="G2" s="5">
        <f>F2/2204.6216</f>
        <v>37968.370603137351</v>
      </c>
    </row>
    <row r="3" spans="1:7" x14ac:dyDescent="0.25">
      <c r="A3" s="29" t="s">
        <v>38</v>
      </c>
      <c r="B3" s="5">
        <v>86929053.400000006</v>
      </c>
      <c r="C3" s="5">
        <f>B3*'Conversion Factors'!F4</f>
        <v>54442188.350512207</v>
      </c>
      <c r="D3" s="5">
        <v>1313920.6300000001</v>
      </c>
      <c r="E3" s="5">
        <f>D3*'Conversion Factors'!$B$16</f>
        <v>15369727.947284792</v>
      </c>
      <c r="F3" s="5">
        <f>C3+E3</f>
        <v>69811916.297796994</v>
      </c>
      <c r="G3" s="5">
        <f>F3/2204.6216</f>
        <v>31666.167245116801</v>
      </c>
    </row>
    <row r="4" spans="1:7" x14ac:dyDescent="0.25">
      <c r="F4" s="2" t="s">
        <v>15</v>
      </c>
      <c r="G4" s="8">
        <f>(G3-G2)/G2</f>
        <v>-0.16598561534004291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zoomScale="120" zoomScaleNormal="120" workbookViewId="0">
      <selection activeCell="A2" sqref="A2:A3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16384" width="9.140625" style="2"/>
  </cols>
  <sheetData>
    <row r="1" spans="1:7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1" t="s">
        <v>19</v>
      </c>
      <c r="G1" s="1" t="s">
        <v>12</v>
      </c>
    </row>
    <row r="2" spans="1:7" x14ac:dyDescent="0.25">
      <c r="A2" s="4" t="s">
        <v>37</v>
      </c>
      <c r="B2" s="5">
        <v>31137060</v>
      </c>
      <c r="C2" s="5">
        <f>B2*'Conversion Factors'!F3</f>
        <v>23275357.131780002</v>
      </c>
      <c r="D2" s="5">
        <v>956338</v>
      </c>
      <c r="E2" s="5">
        <f>D2*'Conversion Factors'!$B$16</f>
        <v>11186866.6569688</v>
      </c>
      <c r="F2" s="5">
        <f>C2+E2</f>
        <v>34462223.788748801</v>
      </c>
      <c r="G2" s="5">
        <f>F2/2204.6216</f>
        <v>15631.809009196319</v>
      </c>
    </row>
    <row r="3" spans="1:7" x14ac:dyDescent="0.25">
      <c r="A3" s="4" t="s">
        <v>38</v>
      </c>
      <c r="B3" s="5">
        <v>26462188</v>
      </c>
      <c r="C3" s="5">
        <f>B3*'Conversion Factors'!F4</f>
        <v>16572818.487204</v>
      </c>
      <c r="D3" s="5">
        <v>870287</v>
      </c>
      <c r="E3" s="5">
        <f>D3*'Conversion Factors'!$B$16</f>
        <v>10180275.825381201</v>
      </c>
      <c r="F3" s="5">
        <f>C3+E3</f>
        <v>26753094.312585201</v>
      </c>
      <c r="G3" s="5">
        <f>F3/2204.6216</f>
        <v>12135.005078687971</v>
      </c>
    </row>
    <row r="4" spans="1:7" x14ac:dyDescent="0.25">
      <c r="F4" s="2" t="s">
        <v>15</v>
      </c>
      <c r="G4" s="8">
        <f>(G3-G2)/G2</f>
        <v>-0.22369796921464111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zoomScale="120" zoomScaleNormal="120" workbookViewId="0">
      <selection activeCell="A2" sqref="A2:A3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16384" width="9.140625" style="2"/>
  </cols>
  <sheetData>
    <row r="1" spans="1:7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1" t="s">
        <v>19</v>
      </c>
      <c r="G1" s="1" t="s">
        <v>12</v>
      </c>
    </row>
    <row r="2" spans="1:7" x14ac:dyDescent="0.25">
      <c r="A2" s="4" t="s">
        <v>37</v>
      </c>
      <c r="B2" s="5">
        <v>3990637.5</v>
      </c>
      <c r="C2" s="5">
        <f>B2*'Conversion Factors'!F3</f>
        <v>2983053.4095375002</v>
      </c>
      <c r="D2" s="5">
        <v>39461.050000000017</v>
      </c>
      <c r="E2" s="5">
        <f>D2*'Conversion Factors'!$B$16</f>
        <v>461599.87838398025</v>
      </c>
      <c r="F2" s="5">
        <f>C2+E2</f>
        <v>3444653.2879214804</v>
      </c>
      <c r="G2" s="5">
        <f>F2/2204.6216</f>
        <v>1562.4691729054457</v>
      </c>
    </row>
    <row r="3" spans="1:7" x14ac:dyDescent="0.25">
      <c r="A3" s="4" t="s">
        <v>38</v>
      </c>
      <c r="B3" s="5">
        <v>2835333</v>
      </c>
      <c r="C3" s="5">
        <f>B3*'Conversion Factors'!F4</f>
        <v>1775720.857239</v>
      </c>
      <c r="D3" s="5">
        <v>14772.699999999999</v>
      </c>
      <c r="E3" s="5">
        <f>D3*'Conversion Factors'!$B$16</f>
        <v>172805.24779252001</v>
      </c>
      <c r="F3" s="5">
        <f>C3+E3</f>
        <v>1948526.1050315201</v>
      </c>
      <c r="G3" s="5">
        <f>F3/2204.6216</f>
        <v>883.83698364903989</v>
      </c>
    </row>
    <row r="4" spans="1:7" x14ac:dyDescent="0.25">
      <c r="F4" s="2" t="s">
        <v>15</v>
      </c>
      <c r="G4" s="8">
        <f>(G3-G2)/G2</f>
        <v>-0.43433317023111206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"/>
  <sheetViews>
    <sheetView topLeftCell="C1" zoomScale="120" zoomScaleNormal="120" workbookViewId="0">
      <selection activeCell="C27" sqref="C27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16384" width="9.140625" style="2"/>
  </cols>
  <sheetData>
    <row r="1" spans="1:7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1" t="s">
        <v>19</v>
      </c>
      <c r="G1" s="1" t="s">
        <v>12</v>
      </c>
    </row>
    <row r="2" spans="1:7" x14ac:dyDescent="0.25">
      <c r="A2" s="4" t="s">
        <v>37</v>
      </c>
      <c r="B2" s="5">
        <v>29791053</v>
      </c>
      <c r="C2" s="5">
        <f>B2*'Conversion Factors'!F3</f>
        <v>22269199.401189003</v>
      </c>
      <c r="D2" s="5">
        <v>140012</v>
      </c>
      <c r="E2" s="5">
        <f>D2*'Conversion Factors'!$B$16</f>
        <v>1637805.4352912002</v>
      </c>
      <c r="F2" s="5">
        <f>C2+E2</f>
        <v>23907004.836480204</v>
      </c>
      <c r="G2" s="5">
        <f>F2/2204.6216</f>
        <v>10844.040009623513</v>
      </c>
    </row>
    <row r="3" spans="1:7" x14ac:dyDescent="0.25">
      <c r="A3" s="4" t="s">
        <v>38</v>
      </c>
      <c r="B3" s="5">
        <v>30082021</v>
      </c>
      <c r="C3" s="5">
        <f>B3*'Conversion Factors'!F4</f>
        <v>18839858.357943002</v>
      </c>
      <c r="D3" s="5">
        <v>97882</v>
      </c>
      <c r="E3" s="5">
        <f>D3*'Conversion Factors'!$B$16</f>
        <v>1144985.2271032</v>
      </c>
      <c r="F3" s="5">
        <f>C3+E3</f>
        <v>19984843.585046202</v>
      </c>
      <c r="G3" s="5">
        <f>F3/2204.6216</f>
        <v>9064.9767674625891</v>
      </c>
    </row>
    <row r="4" spans="1:7" x14ac:dyDescent="0.25">
      <c r="F4" s="2" t="s">
        <v>15</v>
      </c>
      <c r="G4" s="8">
        <f>(G3-G2)/G2</f>
        <v>-0.16405908135548186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"/>
  <sheetViews>
    <sheetView topLeftCell="C1" zoomScale="120" zoomScaleNormal="120" workbookViewId="0">
      <selection activeCell="A2" sqref="A2:A3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16384" width="9.140625" style="2"/>
  </cols>
  <sheetData>
    <row r="1" spans="1:7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1" t="s">
        <v>19</v>
      </c>
      <c r="G1" s="1" t="s">
        <v>12</v>
      </c>
    </row>
    <row r="2" spans="1:7" x14ac:dyDescent="0.25">
      <c r="A2" s="4" t="s">
        <v>37</v>
      </c>
      <c r="B2" s="5">
        <v>8427548</v>
      </c>
      <c r="C2" s="5">
        <f>B2*'Conversion Factors'!F3</f>
        <v>6299701.688124001</v>
      </c>
      <c r="D2" s="5">
        <v>132632</v>
      </c>
      <c r="E2" s="5">
        <f>D2*'Conversion Factors'!$B$16</f>
        <v>1551477.0912032002</v>
      </c>
      <c r="F2" s="5">
        <f>C2+E2</f>
        <v>7851178.7793272007</v>
      </c>
      <c r="G2" s="5">
        <f>F2/2204.6216</f>
        <v>3561.2364404518221</v>
      </c>
    </row>
    <row r="3" spans="1:7" x14ac:dyDescent="0.25">
      <c r="A3" s="4" t="s">
        <v>38</v>
      </c>
      <c r="B3" s="5">
        <v>7218879</v>
      </c>
      <c r="C3" s="5">
        <f>B3*'Conversion Factors'!F4</f>
        <v>4521061.1967569999</v>
      </c>
      <c r="D3" s="5">
        <v>154098</v>
      </c>
      <c r="E3" s="5">
        <f>D3*'Conversion Factors'!$B$16</f>
        <v>1802577.9359448003</v>
      </c>
      <c r="F3" s="5">
        <f>C3+E3</f>
        <v>6323639.1327018002</v>
      </c>
      <c r="G3" s="5">
        <f>F3/2204.6216</f>
        <v>2868.3557907179174</v>
      </c>
    </row>
    <row r="4" spans="1:7" x14ac:dyDescent="0.25">
      <c r="F4" s="2" t="s">
        <v>15</v>
      </c>
      <c r="G4" s="8">
        <f>(G3-G2)/G2</f>
        <v>-0.19456182180534953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zoomScale="120" zoomScaleNormal="120" workbookViewId="0">
      <selection activeCell="A2" sqref="A2:A3"/>
    </sheetView>
  </sheetViews>
  <sheetFormatPr defaultColWidth="9.140625" defaultRowHeight="15" x14ac:dyDescent="0.25"/>
  <cols>
    <col min="1" max="1" width="9.140625" style="2"/>
    <col min="2" max="7" width="13.85546875" style="2" customWidth="1"/>
    <col min="8" max="8" width="13" style="2" customWidth="1"/>
    <col min="9" max="16384" width="9.140625" style="2"/>
  </cols>
  <sheetData>
    <row r="1" spans="1:7" ht="45" x14ac:dyDescent="0.25">
      <c r="A1" s="3" t="s">
        <v>35</v>
      </c>
      <c r="B1" s="1" t="s">
        <v>6</v>
      </c>
      <c r="C1" s="1" t="s">
        <v>17</v>
      </c>
      <c r="D1" s="1" t="s">
        <v>5</v>
      </c>
      <c r="E1" s="1" t="s">
        <v>18</v>
      </c>
      <c r="F1" s="1" t="s">
        <v>19</v>
      </c>
      <c r="G1" s="1" t="s">
        <v>12</v>
      </c>
    </row>
    <row r="2" spans="1:7" x14ac:dyDescent="0.25">
      <c r="A2" s="4" t="s">
        <v>37</v>
      </c>
      <c r="B2" s="5">
        <v>20004252</v>
      </c>
      <c r="C2" s="5">
        <f>B2*'Conversion Factors'!F3</f>
        <v>14953438.425276002</v>
      </c>
      <c r="D2" s="5">
        <v>477039</v>
      </c>
      <c r="E2" s="5">
        <f>D2*'Conversion Factors'!$B$16</f>
        <v>5580215.0318964003</v>
      </c>
      <c r="F2" s="5">
        <f>C2+E2</f>
        <v>20533653.457172401</v>
      </c>
      <c r="G2" s="5">
        <f>F2/2204.6216</f>
        <v>9313.9128534222837</v>
      </c>
    </row>
    <row r="3" spans="1:7" x14ac:dyDescent="0.25">
      <c r="A3" s="4" t="s">
        <v>38</v>
      </c>
      <c r="B3" s="5">
        <v>19008747</v>
      </c>
      <c r="C3" s="5">
        <f>B3*'Conversion Factors'!F4</f>
        <v>11904855.097401001</v>
      </c>
      <c r="D3" s="5">
        <v>481435</v>
      </c>
      <c r="E3" s="5">
        <f>D3*'Conversion Factors'!$B$16</f>
        <v>5631637.7149060005</v>
      </c>
      <c r="F3" s="5">
        <f>C3+E3</f>
        <v>17536492.812307</v>
      </c>
      <c r="G3" s="5">
        <f>F3/2204.6216</f>
        <v>7954.4230231197052</v>
      </c>
    </row>
    <row r="4" spans="1:7" x14ac:dyDescent="0.25">
      <c r="F4" s="2" t="s">
        <v>15</v>
      </c>
      <c r="G4" s="8">
        <f>(G3-G2)/G2</f>
        <v>-0.14596334018769033</v>
      </c>
    </row>
  </sheetData>
  <pageMargins left="0.7" right="0.7" top="0.75" bottom="0.75" header="0.3" footer="0.3"/>
  <pageSetup orientation="landscape" r:id="rId1"/>
  <headerFooter>
    <oddHeader>&amp;CSquare Footage Graph - TO USE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Conversion Factors</vt:lpstr>
      <vt:lpstr>Total County</vt:lpstr>
      <vt:lpstr>FMD</vt:lpstr>
      <vt:lpstr>Public Works</vt:lpstr>
      <vt:lpstr>Parks</vt:lpstr>
      <vt:lpstr>Human Services</vt:lpstr>
      <vt:lpstr>Offices</vt:lpstr>
      <vt:lpstr>Libraries</vt:lpstr>
      <vt:lpstr>Public Safety</vt:lpstr>
      <vt:lpstr>Correctional</vt:lpstr>
      <vt:lpstr>RECenters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2023-04-26T12:18:05Z</dcterms:modified>
</cp:coreProperties>
</file>